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rograma 1" sheetId="1" r:id="rId4"/>
    <sheet state="visible" name="Programa 2" sheetId="2" r:id="rId5"/>
    <sheet state="visible" name="Programa 3" sheetId="3" r:id="rId6"/>
    <sheet state="visible" name="Programa 4" sheetId="4" r:id="rId7"/>
    <sheet state="hidden" name="Tripas" sheetId="5" r:id="rId8"/>
  </sheets>
  <definedNames/>
  <calcPr/>
</workbook>
</file>

<file path=xl/sharedStrings.xml><?xml version="1.0" encoding="utf-8"?>
<sst xmlns="http://schemas.openxmlformats.org/spreadsheetml/2006/main" count="281" uniqueCount="106">
  <si>
    <t>PROGRAMA 1. SECTOR RESIDENCIAL Y EDIFICIOS E INSTALACIONES PÚBLICAS</t>
  </si>
  <si>
    <t>Tipo 1.1.- Eficiencia energética en viviendas y edificios residenciales</t>
  </si>
  <si>
    <t>Mínimo:</t>
  </si>
  <si>
    <t>Aumento de calificación energética en UNA LETRA</t>
  </si>
  <si>
    <t xml:space="preserve">Beneficiario empresa: </t>
  </si>
  <si>
    <t>Reducción de Energía primaria NR 20%</t>
  </si>
  <si>
    <t>Nota: Aunque hay una línea específica de renovables también se podría justificar por esta línea (sin necesidad de almacenamiento)</t>
  </si>
  <si>
    <t>Tipo de edificio</t>
  </si>
  <si>
    <t>Edificios y viviendas residenciales</t>
  </si>
  <si>
    <t>Tipo de beneficiario</t>
  </si>
  <si>
    <t>No ejerce actividad económica</t>
  </si>
  <si>
    <t>Incorporación de EERR</t>
  </si>
  <si>
    <t>SI</t>
  </si>
  <si>
    <t>Reducción de energía primaria mínimo 30%</t>
  </si>
  <si>
    <t>Reducción de energía primaria mínimo 60%</t>
  </si>
  <si>
    <t>NO</t>
  </si>
  <si>
    <t>Intervención en edificios completos de viviendas</t>
  </si>
  <si>
    <r>
      <rPr>
        <rFont val="Arial"/>
        <b/>
        <color theme="1"/>
      </rPr>
      <t xml:space="preserve">Servicios energéticos y/o </t>
    </r>
    <r>
      <rPr>
        <rFont val="Arial"/>
        <b/>
        <color rgb="FFFF0000"/>
      </rPr>
      <t>comunidades energéticas</t>
    </r>
  </si>
  <si>
    <t>Municipio de reto demográfico</t>
  </si>
  <si>
    <t>Renta per cápita  municipio 2021 &lt; 75% media Andalucía</t>
  </si>
  <si>
    <t>Máximo</t>
  </si>
  <si>
    <t>TOTAL</t>
  </si>
  <si>
    <t>Tipo 1.2.- Eficiencia energética en edificios, instalaciones e infraestructuras públicas</t>
  </si>
  <si>
    <t>Entidad local No ayuda de estado</t>
  </si>
  <si>
    <t>Edificios públicos NO residenciales</t>
  </si>
  <si>
    <t>Actuación en varios equipos o instalaciones</t>
  </si>
  <si>
    <t>Uso de servicios energéticos</t>
  </si>
  <si>
    <t>Tipo 1.3.- Energías renovables en viviendas y edificios residenciales privados</t>
  </si>
  <si>
    <r>
      <rPr>
        <rFont val="Arial"/>
        <b/>
        <color theme="1"/>
      </rPr>
      <t xml:space="preserve">OJO: Autoconsumo FV </t>
    </r>
    <r>
      <rPr>
        <rFont val="Arial"/>
        <b/>
        <color rgb="FFFF0000"/>
      </rPr>
      <t>CON ALMACENAMIENTO</t>
    </r>
  </si>
  <si>
    <t>Pequeñas empresas, micropymes y autónomos</t>
  </si>
  <si>
    <t>Comunidades energéticas</t>
  </si>
  <si>
    <t>Solicitud empresa de servicios energéticos</t>
  </si>
  <si>
    <t xml:space="preserve">Tipo 1.4.- Energías renovables en instalaciones e infraestructuras públicas y edificios no residenciales </t>
  </si>
  <si>
    <r>
      <rPr>
        <rFont val="Arial"/>
        <b/>
        <color theme="1"/>
      </rPr>
      <t xml:space="preserve">OJO: Autoconsumo FV </t>
    </r>
    <r>
      <rPr>
        <rFont val="Arial"/>
        <b/>
        <color rgb="FFFF0000"/>
      </rPr>
      <t>CON o SIN ALMACENAMIENTO</t>
    </r>
  </si>
  <si>
    <t>Edificios privados NO residenciales</t>
  </si>
  <si>
    <t>Comunidades energéticas (PARA PRIVADOS)</t>
  </si>
  <si>
    <t>Uso de servicios energéticos (PARA PÚBLICOS)</t>
  </si>
  <si>
    <t>PROGRAMA 2. SECTOR EMPRESARIAL Y CADENA AGROALIMENTARIA</t>
  </si>
  <si>
    <t>Tipo 2.1.- Eficiencia energética en edificios</t>
  </si>
  <si>
    <t>Edificios NO residenciales privados</t>
  </si>
  <si>
    <r>
      <rPr>
        <rFont val="Arial"/>
        <b/>
        <color theme="1"/>
      </rPr>
      <t xml:space="preserve">Servicios energéticos y/o </t>
    </r>
    <r>
      <rPr>
        <rFont val="Arial"/>
        <b/>
        <color rgb="FFFF0000"/>
      </rPr>
      <t>comunidades energéticas</t>
    </r>
  </si>
  <si>
    <t>El solicitante es pequeña empresa</t>
  </si>
  <si>
    <t>Se reduce el consumo de E.eléctrica y térmica</t>
  </si>
  <si>
    <t>Tipo 2.2.- Energías renovables en edificios (no residenciales)</t>
  </si>
  <si>
    <r>
      <rPr>
        <rFont val="Arial"/>
        <b/>
        <color theme="1"/>
      </rPr>
      <t xml:space="preserve">OJO: Autoconsumo FV </t>
    </r>
    <r>
      <rPr>
        <rFont val="Arial"/>
        <b/>
        <color rgb="FFFF0000"/>
      </rPr>
      <t>CON o SIN ALMACENAMIENTO</t>
    </r>
  </si>
  <si>
    <t>Mediana empresa</t>
  </si>
  <si>
    <t>Solicitante PYME</t>
  </si>
  <si>
    <t>80% de su energía procede de la renovable</t>
  </si>
  <si>
    <t>Tipo 2.3.- Eficiencia energética en procesos e instalaciones (de las empresas)</t>
  </si>
  <si>
    <t>Reducción del 10% del consumo de procesos sobre los que se realice la actuación</t>
  </si>
  <si>
    <r>
      <rPr>
        <rFont val="Arial"/>
        <b/>
        <color theme="1"/>
      </rPr>
      <t xml:space="preserve">Servicios energéticos y/o </t>
    </r>
    <r>
      <rPr>
        <rFont val="Arial"/>
        <b/>
        <color rgb="FFFF0000"/>
      </rPr>
      <t>comunidades energéticas</t>
    </r>
  </si>
  <si>
    <t>Solicitante pequeña empresa</t>
  </si>
  <si>
    <t>Tipo 2.4.- Energías renovables en los procesos e instalaciones (de empresas)</t>
  </si>
  <si>
    <r>
      <rPr>
        <rFont val="Arial"/>
        <b/>
        <color theme="1"/>
      </rPr>
      <t xml:space="preserve">OJO: Autoconsumo FV </t>
    </r>
    <r>
      <rPr>
        <rFont val="Arial"/>
        <b/>
        <color rgb="FFFF0000"/>
      </rPr>
      <t>CON o SIN ALMACENAMIENTO</t>
    </r>
  </si>
  <si>
    <t>Actuación solicitada por servicios energéticos</t>
  </si>
  <si>
    <t>PROGRAMA 3. REDES Y SISTEMAS INTELIGENTES</t>
  </si>
  <si>
    <t>Tipo 3.1.- Redes inteligentes y nuevos modelos de negocio</t>
  </si>
  <si>
    <t>Tipo de actuación</t>
  </si>
  <si>
    <t>Desarrollo e implantación de redes inteligentes</t>
  </si>
  <si>
    <t>Hibridación de varias EERR o con almacenamiento</t>
  </si>
  <si>
    <t>Si incluye en formato digital difusión o divulgación para ciudadanía en gral</t>
  </si>
  <si>
    <t>Tipo 3.2.- Soluciones de almacenamiento de energía</t>
  </si>
  <si>
    <t>Empresa no pyme</t>
  </si>
  <si>
    <t>Ejemplarizante: Entidad local, edificio con atención presencial a la ciudadanía o a las empresas</t>
  </si>
  <si>
    <t>Tipo 3.3.- Infraestructuras de recarga de vehículos eléctricos</t>
  </si>
  <si>
    <t>Entidades locales SI ayuda de estado</t>
  </si>
  <si>
    <t>Beneficios medioambientales para la calidad del aire</t>
  </si>
  <si>
    <t>PROGRAMA 4. HOGARES VULNERABLES</t>
  </si>
  <si>
    <t>Tipo 4.1.- Rehabilitación energética de viviendas</t>
  </si>
  <si>
    <t>VULNERABLES SEVEROS o RIESGO DE EXCLUSIÓN SOCIAL</t>
  </si>
  <si>
    <t>Pago de anticipo del 100% del importe con la resolución de concesión</t>
  </si>
  <si>
    <t>Renta MÁXIMA ANUAL para ser considerado vulnerable severo:</t>
  </si>
  <si>
    <t>Número de adultos en unidad familiar</t>
  </si>
  <si>
    <t>Número de menores en unidad familiar</t>
  </si>
  <si>
    <t>Circunstancias especiales</t>
  </si>
  <si>
    <t>INCENTIVO DEL 100%</t>
  </si>
  <si>
    <t>Tipo 4.2.- Autoconsumo fotovoltaico con y sin almacenamiento</t>
  </si>
  <si>
    <t>Comunidad ciudadana de energía (sin actividad económica): al menos el 50% vulnerables severos Y las actuaciones deben ser de autoconsumo compartido para viviendas</t>
  </si>
  <si>
    <t>Comunidad ciudadana de energía</t>
  </si>
  <si>
    <t>Comunidad ciudadana de energía o autoconsumo colectivo</t>
  </si>
  <si>
    <t>Tipo 1.1</t>
  </si>
  <si>
    <t>Máximo ALTA E</t>
  </si>
  <si>
    <t>Entidad local NO ayuda de estado</t>
  </si>
  <si>
    <t xml:space="preserve">No aplica alta eficiencia para Entidad Local </t>
  </si>
  <si>
    <t>Entidad local SI ayuda de estado</t>
  </si>
  <si>
    <t>Edificio PÚBLICO residencial</t>
  </si>
  <si>
    <r>
      <rPr>
        <rFont val="Arial"/>
        <color theme="1"/>
      </rPr>
      <t xml:space="preserve">El tipo de beneficiario </t>
    </r>
    <r>
      <rPr>
        <rFont val="Arial"/>
        <b/>
        <color theme="1"/>
      </rPr>
      <t>sólo</t>
    </r>
    <r>
      <rPr>
        <rFont val="Arial"/>
        <color theme="1"/>
      </rPr>
      <t xml:space="preserve"> puede ser una </t>
    </r>
    <r>
      <rPr>
        <rFont val="Arial"/>
        <b/>
        <color theme="1"/>
      </rPr>
      <t>Entidad local</t>
    </r>
  </si>
  <si>
    <r>
      <rPr>
        <rFont val="Arial"/>
        <color theme="1"/>
      </rPr>
      <t xml:space="preserve">El tipo de beneficiario </t>
    </r>
    <r>
      <rPr>
        <rFont val="Arial"/>
        <b/>
        <color theme="1"/>
      </rPr>
      <t>NO</t>
    </r>
    <r>
      <rPr>
        <rFont val="Arial"/>
        <color theme="1"/>
      </rPr>
      <t xml:space="preserve"> puede ser una </t>
    </r>
    <r>
      <rPr>
        <rFont val="Arial"/>
        <b/>
        <color theme="1"/>
      </rPr>
      <t>Entidad local</t>
    </r>
  </si>
  <si>
    <t>Tipo 1.2</t>
  </si>
  <si>
    <t>Procesos e instalaciones del sector público</t>
  </si>
  <si>
    <t>Instalaciones e infraestructuras públicas</t>
  </si>
  <si>
    <t>Tipo 1.3</t>
  </si>
  <si>
    <t>max</t>
  </si>
  <si>
    <t>Tipo 1.4</t>
  </si>
  <si>
    <t>Procesos e instalaciones públicas</t>
  </si>
  <si>
    <t>Tipo 2.1</t>
  </si>
  <si>
    <t>Tipo 2.2</t>
  </si>
  <si>
    <t>Tipo 2.3</t>
  </si>
  <si>
    <t>Tipo 2.4</t>
  </si>
  <si>
    <t>Tipo 3.1</t>
  </si>
  <si>
    <t>Tipo 3.2</t>
  </si>
  <si>
    <t>Entidades locales NO ayuda de estado</t>
  </si>
  <si>
    <t>Pequeña empresa</t>
  </si>
  <si>
    <t>Tipo 3.3</t>
  </si>
  <si>
    <t>Tipo 4.2</t>
  </si>
  <si>
    <t>Consumidor vulnerable severo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</si>
</sst>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0.0%"/>
    <numFmt numFmtId="165" formatCode="#,##0.00\ [$€-1]"/>
  </numFmts>
  <fonts count="11">
    <font>
      <sz val="10.0"/>
      <color rgb="FF000000"/>
      <name val="Arial"/>
      <scheme val="minor"/>
    </font>
    <font>
      <b/>
      <sz val="13.0"/>
      <color theme="7"/>
      <name val="Arial"/>
      <scheme val="minor"/>
    </font>
    <font>
      <b/>
      <sz val="13.0"/>
      <color theme="1"/>
      <name val="Arial"/>
      <scheme val="minor"/>
    </font>
    <font>
      <b/>
      <color theme="1"/>
      <name val="Arial"/>
      <scheme val="minor"/>
    </font>
    <font>
      <b/>
      <i/>
      <color theme="1"/>
      <name val="Arial"/>
      <scheme val="minor"/>
    </font>
    <font>
      <color theme="1"/>
      <name val="Arial"/>
      <scheme val="minor"/>
    </font>
    <font>
      <b/>
      <color rgb="FFFF0000"/>
      <name val="Arial"/>
      <scheme val="minor"/>
    </font>
    <font>
      <b/>
      <sz val="13.0"/>
      <color rgb="FF4A86E8"/>
      <name val="Arial"/>
      <scheme val="minor"/>
    </font>
    <font>
      <b/>
      <sz val="13.0"/>
      <color rgb="FF9900FF"/>
      <name val="Arial"/>
      <scheme val="minor"/>
    </font>
    <font>
      <b/>
      <sz val="13.0"/>
      <color rgb="FFFF9900"/>
      <name val="Arial"/>
      <scheme val="minor"/>
    </font>
    <font>
      <b/>
      <sz val="15.0"/>
      <color rgb="FFD9EAD3"/>
      <name val="Arial"/>
      <scheme val="minor"/>
    </font>
  </fonts>
  <fills count="11">
    <fill>
      <patternFill patternType="none"/>
    </fill>
    <fill>
      <patternFill patternType="lightGray"/>
    </fill>
    <fill>
      <patternFill patternType="solid">
        <fgColor rgb="FFD9EAD3"/>
        <bgColor rgb="FFD9EAD3"/>
      </patternFill>
    </fill>
    <fill>
      <patternFill patternType="solid">
        <fgColor rgb="FFB7B7B7"/>
        <bgColor rgb="FFB7B7B7"/>
      </patternFill>
    </fill>
    <fill>
      <patternFill patternType="solid">
        <fgColor rgb="FFFFF2CC"/>
        <bgColor rgb="FFFFF2CC"/>
      </patternFill>
    </fill>
    <fill>
      <patternFill patternType="solid">
        <fgColor rgb="FFB6D7A8"/>
        <bgColor rgb="FFB6D7A8"/>
      </patternFill>
    </fill>
    <fill>
      <patternFill patternType="solid">
        <fgColor rgb="FFC9DAF8"/>
        <bgColor rgb="FFC9DAF8"/>
      </patternFill>
    </fill>
    <fill>
      <patternFill patternType="solid">
        <fgColor rgb="FFD9D2E9"/>
        <bgColor rgb="FFD9D2E9"/>
      </patternFill>
    </fill>
    <fill>
      <patternFill patternType="solid">
        <fgColor rgb="FFFCE5CD"/>
        <bgColor rgb="FFFCE5CD"/>
      </patternFill>
    </fill>
    <fill>
      <patternFill patternType="solid">
        <fgColor rgb="FFFF9900"/>
        <bgColor rgb="FFFF9900"/>
      </patternFill>
    </fill>
    <fill>
      <patternFill patternType="solid">
        <fgColor theme="7"/>
        <bgColor theme="7"/>
      </patternFill>
    </fill>
  </fills>
  <borders count="1">
    <border/>
  </borders>
  <cellStyleXfs count="1">
    <xf borderId="0" fillId="0" fontId="0" numFmtId="0" applyAlignment="1" applyFont="1"/>
  </cellStyleXfs>
  <cellXfs count="29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readingOrder="0"/>
    </xf>
    <xf borderId="0" fillId="0" fontId="2" numFmtId="0" xfId="0" applyAlignment="1" applyFont="1">
      <alignment readingOrder="0"/>
    </xf>
    <xf borderId="0" fillId="3" fontId="2" numFmtId="0" xfId="0" applyAlignment="1" applyFill="1" applyFont="1">
      <alignment readingOrder="0"/>
    </xf>
    <xf borderId="0" fillId="4" fontId="3" numFmtId="0" xfId="0" applyAlignment="1" applyFill="1" applyFont="1">
      <alignment readingOrder="0"/>
    </xf>
    <xf borderId="0" fillId="0" fontId="4" numFmtId="0" xfId="0" applyAlignment="1" applyFont="1">
      <alignment readingOrder="0"/>
    </xf>
    <xf borderId="0" fillId="0" fontId="3" numFmtId="0" xfId="0" applyAlignment="1" applyFont="1">
      <alignment readingOrder="0"/>
    </xf>
    <xf borderId="0" fillId="0" fontId="5" numFmtId="0" xfId="0" applyAlignment="1" applyFont="1">
      <alignment readingOrder="0"/>
    </xf>
    <xf borderId="0" fillId="0" fontId="3" numFmtId="0" xfId="0" applyFont="1"/>
    <xf borderId="0" fillId="0" fontId="3" numFmtId="9" xfId="0" applyFont="1" applyNumberFormat="1"/>
    <xf borderId="0" fillId="0" fontId="5" numFmtId="9" xfId="0" applyFont="1" applyNumberFormat="1"/>
    <xf borderId="0" fillId="0" fontId="5" numFmtId="164" xfId="0" applyFont="1" applyNumberFormat="1"/>
    <xf borderId="0" fillId="5" fontId="3" numFmtId="0" xfId="0" applyAlignment="1" applyFill="1" applyFont="1">
      <alignment readingOrder="0"/>
    </xf>
    <xf borderId="0" fillId="0" fontId="3" numFmtId="0" xfId="0" applyAlignment="1" applyFont="1">
      <alignment horizontal="right" readingOrder="0"/>
    </xf>
    <xf borderId="0" fillId="0" fontId="3" numFmtId="164" xfId="0" applyFont="1" applyNumberFormat="1"/>
    <xf borderId="0" fillId="5" fontId="3" numFmtId="9" xfId="0" applyFont="1" applyNumberFormat="1"/>
    <xf borderId="0" fillId="0" fontId="3" numFmtId="10" xfId="0" applyFont="1" applyNumberFormat="1"/>
    <xf borderId="0" fillId="0" fontId="6" numFmtId="0" xfId="0" applyAlignment="1" applyFont="1">
      <alignment readingOrder="0"/>
    </xf>
    <xf borderId="0" fillId="5" fontId="3" numFmtId="10" xfId="0" applyAlignment="1" applyFont="1" applyNumberFormat="1">
      <alignment readingOrder="0"/>
    </xf>
    <xf borderId="0" fillId="5" fontId="3" numFmtId="164" xfId="0" applyAlignment="1" applyFont="1" applyNumberFormat="1">
      <alignment readingOrder="0"/>
    </xf>
    <xf borderId="0" fillId="6" fontId="7" numFmtId="0" xfId="0" applyAlignment="1" applyFill="1" applyFont="1">
      <alignment readingOrder="0"/>
    </xf>
    <xf borderId="0" fillId="4" fontId="3" numFmtId="0" xfId="0" applyAlignment="1" applyFont="1">
      <alignment readingOrder="0" shrinkToFit="0" wrapText="1"/>
    </xf>
    <xf borderId="0" fillId="7" fontId="8" numFmtId="0" xfId="0" applyAlignment="1" applyFill="1" applyFont="1">
      <alignment readingOrder="0"/>
    </xf>
    <xf borderId="0" fillId="0" fontId="3" numFmtId="0" xfId="0" applyAlignment="1" applyFont="1">
      <alignment readingOrder="0" shrinkToFit="0" wrapText="1"/>
    </xf>
    <xf borderId="0" fillId="0" fontId="5" numFmtId="164" xfId="0" applyAlignment="1" applyFont="1" applyNumberFormat="1">
      <alignment readingOrder="0"/>
    </xf>
    <xf borderId="0" fillId="8" fontId="9" numFmtId="0" xfId="0" applyAlignment="1" applyFill="1" applyFont="1">
      <alignment readingOrder="0"/>
    </xf>
    <xf borderId="0" fillId="9" fontId="3" numFmtId="165" xfId="0" applyFill="1" applyFont="1" applyNumberFormat="1"/>
    <xf borderId="0" fillId="10" fontId="10" numFmtId="0" xfId="0" applyAlignment="1" applyFill="1" applyFont="1">
      <alignment horizontal="center" readingOrder="0"/>
    </xf>
    <xf borderId="0" fillId="0" fontId="5" numFmtId="10" xfId="0" applyAlignment="1" applyFont="1" applyNumberFormat="1">
      <alignment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D9EAD3"/>
    <outlinePr summaryBelow="0" summaryRight="0"/>
  </sheetPr>
  <sheetViews>
    <sheetView showGridLines="0"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75"/>
  <cols>
    <col customWidth="1" min="1" max="1" width="4.13"/>
    <col customWidth="1" min="2" max="2" width="46.88"/>
    <col customWidth="1" min="3" max="3" width="43.5"/>
  </cols>
  <sheetData>
    <row r="1">
      <c r="A1" s="1" t="s">
        <v>0</v>
      </c>
    </row>
    <row r="2">
      <c r="A2" s="2"/>
    </row>
    <row r="3">
      <c r="A3" s="2"/>
    </row>
    <row r="4">
      <c r="A4" s="3" t="s">
        <v>1</v>
      </c>
    </row>
    <row r="6">
      <c r="B6" s="4" t="s">
        <v>2</v>
      </c>
      <c r="C6" s="4" t="s">
        <v>3</v>
      </c>
    </row>
    <row r="7">
      <c r="B7" s="4" t="s">
        <v>4</v>
      </c>
      <c r="C7" s="4" t="s">
        <v>5</v>
      </c>
    </row>
    <row r="8">
      <c r="B8" s="5" t="s">
        <v>6</v>
      </c>
    </row>
    <row r="10">
      <c r="B10" s="6" t="s">
        <v>7</v>
      </c>
      <c r="C10" s="7" t="s">
        <v>8</v>
      </c>
      <c r="D10" s="8" t="str">
        <f>VLOOKUP(C10,Tripas!A10:B11,2,FALSE)</f>
        <v>El tipo de beneficiario NO puede ser una Entidad local</v>
      </c>
    </row>
    <row r="11">
      <c r="B11" s="6" t="s">
        <v>9</v>
      </c>
      <c r="C11" s="7" t="s">
        <v>10</v>
      </c>
      <c r="D11" s="9">
        <f>VLOOKUP(C11,Tripas!A3:C8,2,FALSE)</f>
        <v>0.5</v>
      </c>
    </row>
    <row r="12">
      <c r="B12" s="6" t="s">
        <v>11</v>
      </c>
      <c r="C12" s="7" t="s">
        <v>12</v>
      </c>
      <c r="D12" s="10">
        <f>IF(C12="SI",5%,0)</f>
        <v>0.05</v>
      </c>
    </row>
    <row r="13">
      <c r="B13" s="6" t="s">
        <v>13</v>
      </c>
      <c r="C13" s="7" t="s">
        <v>12</v>
      </c>
      <c r="D13" s="11">
        <f>IF(D14=0,IF(C13="SI",2.5%,0),0)</f>
        <v>0.025</v>
      </c>
    </row>
    <row r="14">
      <c r="B14" s="6" t="s">
        <v>14</v>
      </c>
      <c r="C14" s="7" t="s">
        <v>15</v>
      </c>
      <c r="D14" s="10">
        <f>IF(C14="SI",5%,0)</f>
        <v>0</v>
      </c>
    </row>
    <row r="15">
      <c r="B15" s="6" t="s">
        <v>16</v>
      </c>
      <c r="C15" s="7" t="s">
        <v>12</v>
      </c>
      <c r="D15" s="11">
        <f>IF(C10="Edificio PÚBLICO residencial",0,IF(C15="SI",2.5%,0))</f>
        <v>0.025</v>
      </c>
    </row>
    <row r="16">
      <c r="B16" s="6" t="s">
        <v>17</v>
      </c>
      <c r="C16" s="7" t="s">
        <v>12</v>
      </c>
      <c r="D16" s="11">
        <f>IF(C16="SI",2.5%,0)</f>
        <v>0.025</v>
      </c>
    </row>
    <row r="17">
      <c r="B17" s="6" t="s">
        <v>18</v>
      </c>
      <c r="C17" s="7" t="s">
        <v>15</v>
      </c>
      <c r="D17" s="11">
        <f>IF(C10="Edificio PÚBLICO residencial",0,IF(C17="SI",2.5%,0))</f>
        <v>0</v>
      </c>
    </row>
    <row r="18">
      <c r="B18" s="6" t="s">
        <v>19</v>
      </c>
      <c r="C18" s="7" t="s">
        <v>15</v>
      </c>
      <c r="D18" s="11">
        <f>IF(C10="Edificios y viviendas residenciales",0,IF(C18="SI",2.5%,0))</f>
        <v>0</v>
      </c>
    </row>
    <row r="19">
      <c r="D19" s="10"/>
      <c r="E19" s="12" t="s">
        <v>20</v>
      </c>
    </row>
    <row r="20">
      <c r="C20" s="13" t="s">
        <v>21</v>
      </c>
      <c r="D20" s="14">
        <f>SUM(D11:D18)</f>
        <v>0.625</v>
      </c>
      <c r="E20" s="15">
        <f>IF(C14="SI",VLOOKUP(C11,Tripas!A3:D8,4,FALSE), VLOOKUP(C11,Tripas!A3:C8,3,FALSE))</f>
        <v>0.65</v>
      </c>
    </row>
    <row r="22">
      <c r="A22" s="3" t="s">
        <v>22</v>
      </c>
    </row>
    <row r="24">
      <c r="B24" s="4" t="s">
        <v>2</v>
      </c>
      <c r="C24" s="4" t="s">
        <v>3</v>
      </c>
    </row>
    <row r="26">
      <c r="B26" s="6" t="s">
        <v>9</v>
      </c>
      <c r="C26" s="7" t="s">
        <v>23</v>
      </c>
      <c r="D26" s="9"/>
    </row>
    <row r="27">
      <c r="B27" s="6" t="s">
        <v>7</v>
      </c>
      <c r="C27" s="7" t="s">
        <v>24</v>
      </c>
      <c r="D27" s="16">
        <f>IF(C26=Tripas!$B$14,VLOOKUP(C27,Tripas!A14:G17,2,FALSE),VLOOKUP(C27,Tripas!A14:G17,5,FALSE))</f>
        <v>0.7</v>
      </c>
    </row>
    <row r="28">
      <c r="B28" s="6" t="s">
        <v>11</v>
      </c>
      <c r="C28" s="7" t="s">
        <v>12</v>
      </c>
      <c r="D28" s="10">
        <f>IF(C27="Edificios públicos NO residenciales",IF(C28="SI",5%,0),0)</f>
        <v>0.05</v>
      </c>
    </row>
    <row r="29">
      <c r="B29" s="6" t="s">
        <v>13</v>
      </c>
      <c r="C29" s="7" t="s">
        <v>12</v>
      </c>
      <c r="D29" s="11">
        <f>IF(C27="Instalaciones e infraestructuras públicas",0,IF(D30=0,IF(C29="SI",2.5%,0),0))</f>
        <v>0.025</v>
      </c>
    </row>
    <row r="30">
      <c r="B30" s="6" t="s">
        <v>14</v>
      </c>
      <c r="C30" s="7" t="s">
        <v>15</v>
      </c>
      <c r="D30" s="10">
        <f>IF(C30="SI",5%,0)</f>
        <v>0</v>
      </c>
    </row>
    <row r="31">
      <c r="B31" s="6" t="s">
        <v>25</v>
      </c>
      <c r="C31" s="7" t="s">
        <v>12</v>
      </c>
      <c r="D31" s="11">
        <f>IF(C27="Edificio PÚBLICO residencial",0,IF(C31="SI",2.5%,0))</f>
        <v>0.025</v>
      </c>
    </row>
    <row r="32">
      <c r="B32" s="6" t="s">
        <v>26</v>
      </c>
      <c r="C32" s="7" t="s">
        <v>12</v>
      </c>
      <c r="D32" s="11">
        <f>IF(C32="SI",2.5%,0)</f>
        <v>0.025</v>
      </c>
    </row>
    <row r="33">
      <c r="D33" s="10"/>
      <c r="E33" s="12" t="s">
        <v>20</v>
      </c>
    </row>
    <row r="34">
      <c r="C34" s="13" t="s">
        <v>21</v>
      </c>
      <c r="D34" s="14">
        <f>SUM(D27:D32)</f>
        <v>0.825</v>
      </c>
      <c r="E34" s="15">
        <f>IF(C26="Entidad local NO ayuda de estado",
    IF(C30="SI",VLOOKUP(C27,Tripas!A14:G17,4,FALSE),VLOOKUP(C27,Tripas!A14:G17,3,FALSE)),IF(C30="SI",
        VLOOKUP(C27,Tripas!A14:G17,7,FALSE),VLOOKUP(C27,Tripas!A14:G17,6,FALSE)))</f>
        <v>0.8</v>
      </c>
    </row>
    <row r="35">
      <c r="B35" s="5"/>
    </row>
    <row r="36">
      <c r="A36" s="3" t="s">
        <v>27</v>
      </c>
    </row>
    <row r="38">
      <c r="B38" s="4" t="s">
        <v>28</v>
      </c>
      <c r="C38" s="4"/>
    </row>
    <row r="40">
      <c r="B40" s="6" t="s">
        <v>9</v>
      </c>
      <c r="C40" s="7" t="s">
        <v>29</v>
      </c>
      <c r="D40" s="9">
        <f>VLOOKUP($C$40,Tripas!$A$20:$C$39,2,FALSE)</f>
        <v>0.55</v>
      </c>
    </row>
    <row r="41">
      <c r="B41" s="6" t="s">
        <v>13</v>
      </c>
      <c r="C41" s="7" t="s">
        <v>12</v>
      </c>
      <c r="D41" s="11">
        <f>IF(AND(C40="No ejerce actividad económica",C41="si"),5%,IF(C41="SI",2.5%,0))</f>
        <v>0.025</v>
      </c>
    </row>
    <row r="42">
      <c r="B42" s="17" t="s">
        <v>30</v>
      </c>
      <c r="C42" s="7" t="s">
        <v>12</v>
      </c>
      <c r="D42" s="11">
        <f>IF(C42="SI",2.5%,0)</f>
        <v>0.025</v>
      </c>
    </row>
    <row r="43">
      <c r="B43" s="6" t="s">
        <v>31</v>
      </c>
      <c r="C43" s="7" t="s">
        <v>12</v>
      </c>
      <c r="D43" s="11">
        <f>IF(C40="No ejerce actividad económica",0,IF(C43="SI",2.5%,0))</f>
        <v>0.025</v>
      </c>
    </row>
    <row r="44">
      <c r="B44" s="6" t="s">
        <v>18</v>
      </c>
      <c r="C44" s="7" t="s">
        <v>15</v>
      </c>
      <c r="D44" s="11">
        <f>IF(C39="Edificio PÚBLICO residencial",0,IF(C44="SI",2.5%,0))</f>
        <v>0</v>
      </c>
    </row>
    <row r="45">
      <c r="D45" s="10"/>
      <c r="E45" s="12" t="s">
        <v>20</v>
      </c>
    </row>
    <row r="46">
      <c r="C46" s="13" t="s">
        <v>21</v>
      </c>
      <c r="D46" s="14">
        <f>SUM(D40:D44)</f>
        <v>0.625</v>
      </c>
      <c r="E46" s="18">
        <f>VLOOKUP($C$40,Tripas!$A$20:$C$39,3,FALSE)</f>
        <v>0.65</v>
      </c>
    </row>
    <row r="48">
      <c r="A48" s="3" t="s">
        <v>32</v>
      </c>
    </row>
    <row r="50">
      <c r="B50" s="4" t="s">
        <v>33</v>
      </c>
      <c r="C50" s="4"/>
    </row>
    <row r="52">
      <c r="B52" s="6" t="s">
        <v>9</v>
      </c>
      <c r="C52" s="7" t="s">
        <v>10</v>
      </c>
      <c r="D52" s="9"/>
    </row>
    <row r="53">
      <c r="B53" s="6" t="s">
        <v>7</v>
      </c>
      <c r="C53" s="7" t="s">
        <v>34</v>
      </c>
      <c r="D53" s="16">
        <f>IF(C53="Edificios privados NO residenciales",VLOOKUP(C53,Tripas!A28:G31,2,FALSE),IF(C52="Entidad local No ayuda de estado",VLOOKUP(C53,Tripas!A28:G31,2,FALSE),VLOOKUP(C53,Tripas!A28:G31,5,FALSE)))</f>
        <v>0.55</v>
      </c>
    </row>
    <row r="54">
      <c r="B54" s="6" t="s">
        <v>13</v>
      </c>
      <c r="C54" s="7" t="s">
        <v>12</v>
      </c>
      <c r="D54" s="11">
        <f>IF(C54="SI",5%,0)</f>
        <v>0.05</v>
      </c>
    </row>
    <row r="55">
      <c r="B55" s="17" t="s">
        <v>35</v>
      </c>
      <c r="C55" s="7" t="s">
        <v>12</v>
      </c>
      <c r="D55" s="11">
        <f>IF(AND($C$53="Edificios privados NO residenciales",$C$55="SI"),5%,0)</f>
        <v>0.05</v>
      </c>
    </row>
    <row r="56">
      <c r="B56" s="6" t="s">
        <v>36</v>
      </c>
      <c r="C56" s="7" t="s">
        <v>12</v>
      </c>
      <c r="D56" s="11">
        <f>IF($C$53="Edificios privados NO residenciales",0,IF(C55="SI",2.5%,0))</f>
        <v>0</v>
      </c>
    </row>
    <row r="57">
      <c r="D57" s="10"/>
      <c r="E57" s="12" t="s">
        <v>20</v>
      </c>
    </row>
    <row r="58">
      <c r="C58" s="13" t="s">
        <v>21</v>
      </c>
      <c r="D58" s="14">
        <f>SUM(D53:D56)</f>
        <v>0.65</v>
      </c>
      <c r="E58" s="19">
        <f>IF(C53="Edificios privados NO residenciales",65%,IF(C52="Entidad local No ayuda de estado",VLOOKUP(C53,Tripas!A28:G31,3,FALSE),VLOOKUP(C53,Tripas!A28:G31,6,FALSE)))</f>
        <v>0.65</v>
      </c>
    </row>
    <row r="59">
      <c r="B59" s="5"/>
    </row>
  </sheetData>
  <mergeCells count="5">
    <mergeCell ref="A1:G1"/>
    <mergeCell ref="A4:G4"/>
    <mergeCell ref="A22:G22"/>
    <mergeCell ref="A36:G36"/>
    <mergeCell ref="A48:G48"/>
  </mergeCells>
  <dataValidations>
    <dataValidation type="list" allowBlank="1" showErrorMessage="1" sqref="C11">
      <formula1>"Entidad local No ayuda de estado,Entidad local SI ayuda de estado,No ejerce actividad económica,Pequeñas empresas, micropymes y autónomos,Mediana empresa,Empresa no pyme"</formula1>
    </dataValidation>
    <dataValidation type="list" allowBlank="1" showErrorMessage="1" sqref="C10">
      <formula1>"Edificio PÚBLICO residencial,Edificios y viviendas residenciales"</formula1>
    </dataValidation>
    <dataValidation type="list" allowBlank="1" showErrorMessage="1" sqref="C27">
      <formula1>"Edificios públicos NO residenciales,Procesos e instalaciones del sector público,Instalaciones e infraestructuras públicas"</formula1>
    </dataValidation>
    <dataValidation type="list" allowBlank="1" showErrorMessage="1" sqref="C52">
      <formula1>"Entidad local No ayuda de estado,Entidad local SI ayuda de estado,No ejerce actividad económica"</formula1>
    </dataValidation>
    <dataValidation type="list" allowBlank="1" showErrorMessage="1" sqref="C53">
      <formula1>"Edificios públicos NO residenciales,Procesos e instalaciones públicas,Edificios privados NO residenciales"</formula1>
    </dataValidation>
    <dataValidation type="list" allowBlank="1" showErrorMessage="1" sqref="C26">
      <formula1>"Entidad local No ayuda de estado,Entidad local SI ayuda de estado"</formula1>
    </dataValidation>
    <dataValidation type="list" allowBlank="1" showErrorMessage="1" sqref="C12:C18 C28:C32 C41:C44 C54:C56">
      <formula1>"SI,NO"</formula1>
    </dataValidation>
    <dataValidation type="list" allowBlank="1" showErrorMessage="1" sqref="C40">
      <formula1>"No ejerce actividad económica,Pequeñas empresas, micropymes y autónomos,Mediana empresa,Empresa no pyme"</formula1>
    </dataValidation>
  </dataValidation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9DAF8"/>
    <outlinePr summaryBelow="0" summaryRight="0"/>
  </sheetPr>
  <sheetViews>
    <sheetView showGridLines="0"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75"/>
  <cols>
    <col customWidth="1" min="1" max="1" width="4.13"/>
    <col customWidth="1" min="2" max="2" width="45.0"/>
    <col customWidth="1" min="3" max="3" width="43.5"/>
  </cols>
  <sheetData>
    <row r="1">
      <c r="A1" s="20" t="s">
        <v>37</v>
      </c>
    </row>
    <row r="2">
      <c r="A2" s="2"/>
    </row>
    <row r="3">
      <c r="A3" s="2"/>
    </row>
    <row r="4">
      <c r="A4" s="3" t="s">
        <v>38</v>
      </c>
    </row>
    <row r="6">
      <c r="B6" s="4" t="s">
        <v>2</v>
      </c>
      <c r="C6" s="4" t="s">
        <v>3</v>
      </c>
    </row>
    <row r="7">
      <c r="B7" s="4" t="s">
        <v>39</v>
      </c>
    </row>
    <row r="8">
      <c r="B8" s="4" t="s">
        <v>5</v>
      </c>
    </row>
    <row r="10">
      <c r="B10" s="6" t="s">
        <v>9</v>
      </c>
      <c r="C10" s="7" t="s">
        <v>29</v>
      </c>
      <c r="D10" s="9">
        <f>VLOOKUP($C$10,Tripas!$A$34:$C$36,2,FALSE)</f>
        <v>0.45</v>
      </c>
    </row>
    <row r="11">
      <c r="B11" s="6" t="s">
        <v>13</v>
      </c>
      <c r="C11" s="7" t="s">
        <v>12</v>
      </c>
      <c r="D11" s="11">
        <f t="shared" ref="D11:D12" si="1">IF(C11="SI",2.5%,0)</f>
        <v>0.025</v>
      </c>
    </row>
    <row r="12">
      <c r="B12" s="6" t="s">
        <v>40</v>
      </c>
      <c r="C12" s="7" t="s">
        <v>12</v>
      </c>
      <c r="D12" s="11">
        <f t="shared" si="1"/>
        <v>0.025</v>
      </c>
    </row>
    <row r="13">
      <c r="B13" s="6" t="s">
        <v>41</v>
      </c>
      <c r="C13" s="7" t="s">
        <v>12</v>
      </c>
      <c r="D13" s="11">
        <f>IF(AND(C10="Pequeñas empresas, micropymes y autónomos",C13="SI"),10%,0)</f>
        <v>0.1</v>
      </c>
    </row>
    <row r="14">
      <c r="B14" s="6" t="s">
        <v>42</v>
      </c>
      <c r="C14" s="7" t="s">
        <v>15</v>
      </c>
      <c r="D14" s="11">
        <f>IF(C14="SI",5%,0)</f>
        <v>0</v>
      </c>
    </row>
    <row r="15">
      <c r="D15" s="10"/>
      <c r="E15" s="12" t="s">
        <v>20</v>
      </c>
    </row>
    <row r="16">
      <c r="C16" s="13" t="s">
        <v>21</v>
      </c>
      <c r="D16" s="14">
        <f>SUM(D10:D14)</f>
        <v>0.6</v>
      </c>
      <c r="E16" s="15">
        <f>VLOOKUP($C$10,Tripas!$A$34:$C$36,3,FALSE)</f>
        <v>0.65</v>
      </c>
    </row>
    <row r="18">
      <c r="A18" s="3" t="s">
        <v>43</v>
      </c>
    </row>
    <row r="20">
      <c r="B20" s="4" t="s">
        <v>44</v>
      </c>
      <c r="C20" s="4"/>
    </row>
    <row r="22">
      <c r="B22" s="6" t="s">
        <v>9</v>
      </c>
      <c r="C22" s="7" t="s">
        <v>45</v>
      </c>
      <c r="D22" s="9">
        <f>VLOOKUP($C$22,Tripas!$A$39:$C$42,2,FALSE)</f>
        <v>0.35</v>
      </c>
    </row>
    <row r="23">
      <c r="B23" s="6" t="s">
        <v>46</v>
      </c>
      <c r="C23" s="7" t="s">
        <v>12</v>
      </c>
      <c r="D23" s="11">
        <f>IF(AND(C22="Pequeñas empresas, micropymes y autónomos",C23="SI"),20%,(IF(AND(C22="Mediana empresa",C23="SI"),10%,0)))</f>
        <v>0.1</v>
      </c>
    </row>
    <row r="24">
      <c r="B24" s="6" t="s">
        <v>13</v>
      </c>
      <c r="C24" s="7" t="s">
        <v>12</v>
      </c>
      <c r="D24" s="11">
        <f t="shared" ref="D24:D26" si="2">IF(C24="SI",2.5%,0)</f>
        <v>0.025</v>
      </c>
    </row>
    <row r="25">
      <c r="B25" s="17" t="s">
        <v>30</v>
      </c>
      <c r="C25" s="7" t="s">
        <v>12</v>
      </c>
      <c r="D25" s="11">
        <f t="shared" si="2"/>
        <v>0.025</v>
      </c>
    </row>
    <row r="26">
      <c r="B26" s="6" t="s">
        <v>31</v>
      </c>
      <c r="C26" s="7" t="s">
        <v>12</v>
      </c>
      <c r="D26" s="11">
        <f t="shared" si="2"/>
        <v>0.025</v>
      </c>
    </row>
    <row r="27">
      <c r="B27" s="6" t="s">
        <v>47</v>
      </c>
      <c r="C27" s="7" t="s">
        <v>15</v>
      </c>
      <c r="D27" s="11">
        <f>IF(C21="Edificio PÚBLICO residencial",0,IF(C27="SI",2.5%,0))</f>
        <v>0</v>
      </c>
    </row>
    <row r="28">
      <c r="D28" s="10"/>
      <c r="E28" s="12" t="s">
        <v>20</v>
      </c>
    </row>
    <row r="29">
      <c r="C29" s="13" t="s">
        <v>21</v>
      </c>
      <c r="D29" s="14">
        <f>SUM(D22:D27)</f>
        <v>0.525</v>
      </c>
      <c r="E29" s="18">
        <f>VLOOKUP($C$22,Tripas!$A$39:$C$42,3,FALSE)</f>
        <v>0.55</v>
      </c>
    </row>
    <row r="31">
      <c r="A31" s="3" t="s">
        <v>48</v>
      </c>
    </row>
    <row r="33">
      <c r="B33" s="4" t="s">
        <v>2</v>
      </c>
      <c r="C33" s="21" t="s">
        <v>49</v>
      </c>
    </row>
    <row r="35">
      <c r="B35" s="6" t="s">
        <v>9</v>
      </c>
      <c r="C35" s="7" t="s">
        <v>29</v>
      </c>
      <c r="D35" s="16">
        <f>VLOOKUP($C$35,Tripas!$A$45:$C$48,2,FALSE)</f>
        <v>0.4</v>
      </c>
    </row>
    <row r="36">
      <c r="B36" s="6" t="s">
        <v>13</v>
      </c>
      <c r="C36" s="7" t="s">
        <v>12</v>
      </c>
      <c r="D36" s="11">
        <f t="shared" ref="D36:D37" si="3">IF(C36="SI",2.5%,0)</f>
        <v>0.025</v>
      </c>
    </row>
    <row r="37">
      <c r="B37" s="6" t="s">
        <v>50</v>
      </c>
      <c r="C37" s="7" t="s">
        <v>15</v>
      </c>
      <c r="D37" s="10">
        <f t="shared" si="3"/>
        <v>0</v>
      </c>
    </row>
    <row r="38">
      <c r="B38" s="6" t="s">
        <v>51</v>
      </c>
      <c r="C38" s="7" t="s">
        <v>12</v>
      </c>
      <c r="D38" s="10">
        <f>IF(C38="SI",10%,0)</f>
        <v>0.1</v>
      </c>
    </row>
    <row r="39">
      <c r="B39" s="6" t="s">
        <v>42</v>
      </c>
      <c r="C39" s="7" t="s">
        <v>12</v>
      </c>
      <c r="D39" s="11">
        <f>IF(C39="SI",5%,0)</f>
        <v>0.05</v>
      </c>
    </row>
    <row r="40">
      <c r="D40" s="10"/>
      <c r="E40" s="12" t="s">
        <v>20</v>
      </c>
    </row>
    <row r="41">
      <c r="C41" s="13" t="s">
        <v>21</v>
      </c>
      <c r="D41" s="14">
        <f>SUM(D35:D39)</f>
        <v>0.575</v>
      </c>
      <c r="E41" s="15">
        <f>VLOOKUP($C$35,Tripas!$A$45:$C$48,3,FALSE)</f>
        <v>0.6</v>
      </c>
    </row>
    <row r="43">
      <c r="A43" s="3" t="s">
        <v>52</v>
      </c>
    </row>
    <row r="45">
      <c r="B45" s="4" t="s">
        <v>53</v>
      </c>
      <c r="C45" s="21"/>
    </row>
    <row r="47">
      <c r="B47" s="6" t="s">
        <v>9</v>
      </c>
      <c r="C47" s="7" t="s">
        <v>29</v>
      </c>
      <c r="D47" s="16">
        <f>VLOOKUP($C$35,Tripas!$A$50:$C$53,2,FALSE)</f>
        <v>0.35</v>
      </c>
    </row>
    <row r="48">
      <c r="B48" s="6" t="s">
        <v>13</v>
      </c>
      <c r="C48" s="7" t="s">
        <v>12</v>
      </c>
      <c r="D48" s="11">
        <f t="shared" ref="D48:D50" si="4">IF(C48="SI",2.5%,0)</f>
        <v>0.025</v>
      </c>
    </row>
    <row r="49">
      <c r="B49" s="6" t="s">
        <v>54</v>
      </c>
      <c r="C49" s="7" t="s">
        <v>15</v>
      </c>
      <c r="D49" s="10">
        <f t="shared" si="4"/>
        <v>0</v>
      </c>
    </row>
    <row r="50">
      <c r="B50" s="17" t="s">
        <v>30</v>
      </c>
      <c r="C50" s="7" t="s">
        <v>12</v>
      </c>
      <c r="D50" s="11">
        <f t="shared" si="4"/>
        <v>0.025</v>
      </c>
    </row>
    <row r="51">
      <c r="B51" s="6" t="s">
        <v>46</v>
      </c>
      <c r="C51" s="7" t="s">
        <v>12</v>
      </c>
      <c r="D51" s="11">
        <f>IF(AND(C47="Pequeñas empresas, micropymes y autónomos",C51="SI"),20%,(IF(AND(C47="Mediana empresa",C51="SI"),10%,0)))</f>
        <v>0.2</v>
      </c>
    </row>
    <row r="52">
      <c r="B52" s="6" t="s">
        <v>47</v>
      </c>
      <c r="C52" s="7" t="s">
        <v>12</v>
      </c>
      <c r="D52" s="11">
        <f>IF(C52="SI",2.5%,0)</f>
        <v>0.025</v>
      </c>
    </row>
    <row r="53">
      <c r="D53" s="10"/>
      <c r="E53" s="12" t="s">
        <v>20</v>
      </c>
    </row>
    <row r="54">
      <c r="C54" s="13" t="s">
        <v>21</v>
      </c>
      <c r="D54" s="14">
        <f>SUM(D47:D52)</f>
        <v>0.625</v>
      </c>
      <c r="E54" s="15">
        <f>VLOOKUP($C$35,Tripas!$A$50:$C$53,3,FALSE)</f>
        <v>0.65</v>
      </c>
    </row>
  </sheetData>
  <mergeCells count="7">
    <mergeCell ref="A1:G1"/>
    <mergeCell ref="A4:G4"/>
    <mergeCell ref="B7:C7"/>
    <mergeCell ref="B8:C8"/>
    <mergeCell ref="A18:G18"/>
    <mergeCell ref="A31:G31"/>
    <mergeCell ref="A43:G43"/>
  </mergeCells>
  <dataValidations>
    <dataValidation type="list" allowBlank="1" showErrorMessage="1" sqref="C22">
      <formula1>"Pequeñas empresas, micropymes y autónomos,Mediana empresa,Empresa no pyme"</formula1>
    </dataValidation>
    <dataValidation type="list" allowBlank="1" showErrorMessage="1" sqref="C35 C47">
      <formula1>"Pequeñas empresas, micropymes y autónomos,Mediana empresa,Empresa no pyme"</formula1>
    </dataValidation>
    <dataValidation type="list" allowBlank="1" showErrorMessage="1" sqref="C10">
      <formula1>"Pequeñas empresas, micropymes y autónomos,Mediana empresa"</formula1>
    </dataValidation>
    <dataValidation type="list" allowBlank="1" showErrorMessage="1" sqref="C11:C14 C23:C27 C36:C39 C48:C52">
      <formula1>"SI,NO"</formula1>
    </dataValidation>
  </dataValidation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D9D2E9"/>
    <outlinePr summaryBelow="0" summaryRight="0"/>
  </sheetPr>
  <sheetViews>
    <sheetView showGridLines="0"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75"/>
  <cols>
    <col customWidth="1" min="1" max="1" width="4.13"/>
    <col customWidth="1" min="2" max="2" width="45.0"/>
    <col customWidth="1" min="3" max="3" width="43.5"/>
  </cols>
  <sheetData>
    <row r="1">
      <c r="A1" s="22" t="s">
        <v>55</v>
      </c>
    </row>
    <row r="2">
      <c r="A2" s="2"/>
    </row>
    <row r="3">
      <c r="A3" s="2"/>
    </row>
    <row r="4">
      <c r="A4" s="3" t="s">
        <v>56</v>
      </c>
    </row>
    <row r="6">
      <c r="B6" s="6" t="s">
        <v>57</v>
      </c>
      <c r="C6" s="7" t="s">
        <v>58</v>
      </c>
      <c r="D6" s="9"/>
    </row>
    <row r="7">
      <c r="B7" s="6" t="s">
        <v>9</v>
      </c>
      <c r="C7" s="7" t="s">
        <v>29</v>
      </c>
      <c r="D7" s="9">
        <f>VLOOKUP($C$7,Tripas!$A$57:$C$60,2,FALSE)</f>
        <v>0.3</v>
      </c>
    </row>
    <row r="8">
      <c r="B8" s="6" t="s">
        <v>46</v>
      </c>
      <c r="C8" s="7" t="s">
        <v>12</v>
      </c>
      <c r="D8" s="11">
        <f>IF(AND(C7="Pequeñas empresas, micropymes y autónomos",C8="SI"),10%,(IF(AND(C7="Mediana empresa",C8="SI"),5%,0)))</f>
        <v>0.1</v>
      </c>
    </row>
    <row r="9">
      <c r="B9" s="17" t="s">
        <v>30</v>
      </c>
      <c r="C9" s="7" t="s">
        <v>12</v>
      </c>
      <c r="D9" s="11">
        <f>IF(AND(C9="SI",C6="Desarrollo e implantación de redes inteligentes"),1%,0)</f>
        <v>0.01</v>
      </c>
    </row>
    <row r="10">
      <c r="B10" s="6" t="s">
        <v>59</v>
      </c>
      <c r="C10" s="7" t="s">
        <v>12</v>
      </c>
      <c r="D10" s="11">
        <f t="shared" ref="D10:D11" si="1">IF(AND(C10="SI",$C$6="Desarrollo e implantación de redes inteligentes"),2%,IF(AND(C10="SI",$C$6="Desarrollo de nuevos modelos de negocio del mercado energético"),2.5%,0))</f>
        <v>0.02</v>
      </c>
    </row>
    <row r="11">
      <c r="B11" s="23" t="s">
        <v>60</v>
      </c>
      <c r="C11" s="7" t="s">
        <v>12</v>
      </c>
      <c r="D11" s="11">
        <f t="shared" si="1"/>
        <v>0.02</v>
      </c>
    </row>
    <row r="12">
      <c r="D12" s="10"/>
      <c r="E12" s="12" t="s">
        <v>20</v>
      </c>
    </row>
    <row r="13">
      <c r="C13" s="13" t="s">
        <v>21</v>
      </c>
      <c r="D13" s="14">
        <f>SUM(D7:D11)</f>
        <v>0.45</v>
      </c>
      <c r="E13" s="15">
        <f>VLOOKUP($C$7,Tripas!$A$57:$C$60,3,FALSE)</f>
        <v>0.45</v>
      </c>
    </row>
    <row r="15">
      <c r="A15" s="3" t="s">
        <v>61</v>
      </c>
    </row>
    <row r="17">
      <c r="B17" s="6" t="s">
        <v>9</v>
      </c>
      <c r="C17" s="7" t="s">
        <v>62</v>
      </c>
      <c r="D17" s="9">
        <f>VLOOKUP($C$17,Tripas!$A$63:$C$68,2,FALSE)</f>
        <v>0.25</v>
      </c>
    </row>
    <row r="18">
      <c r="B18" s="23" t="s">
        <v>63</v>
      </c>
      <c r="C18" s="7" t="s">
        <v>12</v>
      </c>
      <c r="D18" s="24">
        <f>IF(AND(C17="Entidades locales NO ayuda de estado",C18="SI"),5%,(IF(AND(C17="Entidades locales SI ayuda de estado",C18="SI"),2.5%,0)))</f>
        <v>0</v>
      </c>
    </row>
    <row r="19">
      <c r="B19" s="23" t="s">
        <v>60</v>
      </c>
      <c r="C19" s="7" t="s">
        <v>12</v>
      </c>
      <c r="D19" s="11">
        <f>IF(AND(C17="Entidades locales SI ayuda de estado",C19="SI"),2.5%,IF(AND(C17&lt;&gt;"Entidades locales SI ayuda de estado",C19="SI"),5%,0))</f>
        <v>0.05</v>
      </c>
    </row>
    <row r="20">
      <c r="B20" s="6" t="s">
        <v>46</v>
      </c>
      <c r="C20" s="7" t="s">
        <v>12</v>
      </c>
      <c r="D20" s="11">
        <f>IF(AND(C17="Pequeña empresa",C20="SI"),20%,(IF(AND(C17="Mediana empresa",C20="SI"),10%,0)))</f>
        <v>0</v>
      </c>
    </row>
    <row r="21">
      <c r="D21" s="10"/>
      <c r="E21" s="12" t="s">
        <v>20</v>
      </c>
    </row>
    <row r="22">
      <c r="C22" s="13" t="s">
        <v>21</v>
      </c>
      <c r="D22" s="14">
        <f>SUM(D17:D20)</f>
        <v>0.3</v>
      </c>
      <c r="E22" s="18">
        <f>VLOOKUP($C$17,Tripas!$A$63:$C$68,3,FALSE)</f>
        <v>0.3</v>
      </c>
    </row>
    <row r="24">
      <c r="A24" s="3" t="s">
        <v>64</v>
      </c>
    </row>
    <row r="26">
      <c r="B26" s="6" t="s">
        <v>9</v>
      </c>
      <c r="C26" s="7" t="s">
        <v>65</v>
      </c>
      <c r="D26" s="9">
        <f>VLOOKUP($C$26,Tripas!$A$72:$C$75,2,FALSE)</f>
        <v>0.3</v>
      </c>
    </row>
    <row r="27">
      <c r="B27" s="23" t="s">
        <v>66</v>
      </c>
      <c r="C27" s="7" t="s">
        <v>12</v>
      </c>
      <c r="D27" s="24">
        <f t="shared" ref="D27:D28" si="2">IF(AND($C$26="Entidades locales SI ayuda de estado",C27="SI"),2.5%,(IF(AND($C$26&lt;&gt;"Entidades locales SI ayuda de estado",C27="SI"),5%,0)))</f>
        <v>0.025</v>
      </c>
    </row>
    <row r="28">
      <c r="B28" s="6" t="s">
        <v>18</v>
      </c>
      <c r="C28" s="7" t="s">
        <v>12</v>
      </c>
      <c r="D28" s="24">
        <f t="shared" si="2"/>
        <v>0.025</v>
      </c>
    </row>
    <row r="29">
      <c r="D29" s="10"/>
      <c r="E29" s="12" t="s">
        <v>20</v>
      </c>
    </row>
    <row r="30">
      <c r="C30" s="13" t="s">
        <v>21</v>
      </c>
      <c r="D30" s="14">
        <f>SUM(D26:D28)</f>
        <v>0.35</v>
      </c>
      <c r="E30" s="18">
        <f>VLOOKUP($C$26,Tripas!$A$72:$C$75,3,FALSE)</f>
        <v>0.35</v>
      </c>
    </row>
  </sheetData>
  <mergeCells count="4">
    <mergeCell ref="A1:G1"/>
    <mergeCell ref="A4:G4"/>
    <mergeCell ref="A15:G15"/>
    <mergeCell ref="A24:G24"/>
  </mergeCells>
  <dataValidations>
    <dataValidation type="list" allowBlank="1" showErrorMessage="1" sqref="C7">
      <formula1>"Pequeñas empresas, micropymes y autónomos,Mediana empresa,Empresa no pyme"</formula1>
    </dataValidation>
    <dataValidation type="list" allowBlank="1" showErrorMessage="1" sqref="C26">
      <formula1>"Pequeña empresa,Mediana empresa,Entidades locales NO ayuda de estado,Entidades locales SI ayuda de estado"</formula1>
    </dataValidation>
    <dataValidation type="list" allowBlank="1" showErrorMessage="1" sqref="C17">
      <formula1>"Pequeña empresa,Mediana empresa,Empresa no pyme,Entidades locales NO ayuda de estado,Entidades locales SI ayuda de estado"</formula1>
    </dataValidation>
    <dataValidation type="list" allowBlank="1" showErrorMessage="1" sqref="C6">
      <formula1>"Desarrollo e implantación de redes inteligentes,Desarrollo de nuevos modelos de negocio del mercado energético"</formula1>
    </dataValidation>
    <dataValidation type="list" allowBlank="1" showErrorMessage="1" sqref="C8:C11 C18:C20 C27:C28">
      <formula1>"SI,NO"</formula1>
    </dataValidation>
  </dataValidation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CE5CD"/>
    <outlinePr summaryBelow="0" summaryRight="0"/>
  </sheetPr>
  <sheetViews>
    <sheetView showGridLines="0"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75"/>
  <cols>
    <col customWidth="1" min="1" max="1" width="4.13"/>
    <col customWidth="1" min="2" max="2" width="45.0"/>
    <col customWidth="1" min="3" max="3" width="43.5"/>
    <col customWidth="1" min="4" max="4" width="18.5"/>
  </cols>
  <sheetData>
    <row r="1">
      <c r="A1" s="25" t="s">
        <v>67</v>
      </c>
    </row>
    <row r="2">
      <c r="A2" s="2"/>
    </row>
    <row r="3">
      <c r="A3" s="2"/>
    </row>
    <row r="4">
      <c r="A4" s="3" t="s">
        <v>68</v>
      </c>
    </row>
    <row r="6">
      <c r="B6" s="4" t="s">
        <v>2</v>
      </c>
      <c r="C6" s="4" t="s">
        <v>3</v>
      </c>
    </row>
    <row r="7">
      <c r="B7" s="4" t="s">
        <v>69</v>
      </c>
      <c r="C7" s="21"/>
    </row>
    <row r="8">
      <c r="B8" s="4" t="s">
        <v>70</v>
      </c>
      <c r="C8" s="21"/>
    </row>
    <row r="10">
      <c r="B10" s="5" t="s">
        <v>71</v>
      </c>
      <c r="D10" s="26">
        <f>IF(C13="SI",(0.75+0.5+(0.15*(C11-1)+0.25*C12))*8400,(0.75+(0.15*(C11-1)+0.25*C12))*8400)</f>
        <v>11760</v>
      </c>
    </row>
    <row r="11">
      <c r="B11" s="6" t="s">
        <v>72</v>
      </c>
      <c r="C11" s="7">
        <v>2.0</v>
      </c>
      <c r="D11" s="9"/>
    </row>
    <row r="12">
      <c r="B12" s="6" t="s">
        <v>73</v>
      </c>
      <c r="C12" s="7">
        <v>2.0</v>
      </c>
      <c r="D12" s="9"/>
    </row>
    <row r="13">
      <c r="B13" s="6" t="s">
        <v>74</v>
      </c>
      <c r="C13" s="7" t="s">
        <v>15</v>
      </c>
      <c r="D13" s="9"/>
    </row>
    <row r="15">
      <c r="B15" s="27" t="s">
        <v>75</v>
      </c>
    </row>
    <row r="17">
      <c r="A17" s="3" t="s">
        <v>76</v>
      </c>
    </row>
    <row r="19">
      <c r="B19" s="4" t="s">
        <v>69</v>
      </c>
      <c r="C19" s="21"/>
    </row>
    <row r="20">
      <c r="B20" s="4" t="s">
        <v>70</v>
      </c>
      <c r="C20" s="21"/>
    </row>
    <row r="21">
      <c r="B21" s="21" t="s">
        <v>77</v>
      </c>
      <c r="D21" s="9"/>
    </row>
    <row r="22">
      <c r="B22" s="6"/>
      <c r="D22" s="9"/>
    </row>
    <row r="23">
      <c r="B23" s="6" t="s">
        <v>9</v>
      </c>
      <c r="C23" s="7" t="s">
        <v>78</v>
      </c>
      <c r="D23" s="9">
        <f>VLOOKUP($C$23,Tripas!$A$77:$C$79,2,FALSE)</f>
        <v>0.95</v>
      </c>
    </row>
    <row r="24">
      <c r="B24" s="6" t="s">
        <v>13</v>
      </c>
      <c r="C24" s="7" t="s">
        <v>12</v>
      </c>
      <c r="D24" s="11">
        <f>IF(C24="SI",1%,0)</f>
        <v>0.01</v>
      </c>
    </row>
    <row r="25">
      <c r="B25" s="23" t="s">
        <v>79</v>
      </c>
      <c r="C25" s="7" t="s">
        <v>12</v>
      </c>
      <c r="D25" s="11">
        <f>IF(AND(C23="Comunidad ciudadana de energía",C25="SI"),3%,0)</f>
        <v>0.03</v>
      </c>
    </row>
    <row r="26">
      <c r="B26" s="6" t="s">
        <v>18</v>
      </c>
      <c r="C26" s="7" t="s">
        <v>12</v>
      </c>
      <c r="D26" s="11">
        <f>IF(C26="SI",1%,0)</f>
        <v>0.01</v>
      </c>
    </row>
    <row r="27">
      <c r="D27" s="10"/>
      <c r="E27" s="12" t="s">
        <v>20</v>
      </c>
    </row>
    <row r="28">
      <c r="C28" s="13" t="s">
        <v>21</v>
      </c>
      <c r="D28" s="14">
        <f>SUM(D23:D26)</f>
        <v>1</v>
      </c>
      <c r="E28" s="18">
        <f>VLOOKUP($C$23,Tripas!$A$77:$C$79,3,FALSE)</f>
        <v>1</v>
      </c>
    </row>
  </sheetData>
  <mergeCells count="5">
    <mergeCell ref="A1:G1"/>
    <mergeCell ref="A4:G4"/>
    <mergeCell ref="B15:D15"/>
    <mergeCell ref="A17:G17"/>
    <mergeCell ref="B21:C21"/>
  </mergeCells>
  <dataValidations>
    <dataValidation type="list" allowBlank="1" showErrorMessage="1" sqref="C23">
      <formula1>"Consumidor vulnerable severo,Comunidad ciudadana de energía"</formula1>
    </dataValidation>
    <dataValidation type="list" allowBlank="1" showErrorMessage="1" sqref="C12">
      <formula1>"0,1,2,3,4,5,6,7,8"</formula1>
    </dataValidation>
    <dataValidation type="list" allowBlank="1" showErrorMessage="1" sqref="C11">
      <formula1>"1,2,3,4,5"</formula1>
    </dataValidation>
    <dataValidation type="list" allowBlank="1" showErrorMessage="1" sqref="C13 C24:C26">
      <formula1>"SI,NO"</formula1>
    </dataValidation>
  </dataValidation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40.63"/>
  </cols>
  <sheetData>
    <row r="2">
      <c r="A2" s="6" t="s">
        <v>80</v>
      </c>
      <c r="C2" s="7" t="s">
        <v>20</v>
      </c>
      <c r="D2" s="7" t="s">
        <v>81</v>
      </c>
    </row>
    <row r="3">
      <c r="A3" s="7" t="s">
        <v>82</v>
      </c>
      <c r="B3" s="28">
        <v>0.65</v>
      </c>
      <c r="C3" s="28">
        <v>0.8</v>
      </c>
      <c r="D3" s="7" t="s">
        <v>83</v>
      </c>
    </row>
    <row r="4">
      <c r="A4" s="7" t="s">
        <v>84</v>
      </c>
      <c r="B4" s="28">
        <v>0.3</v>
      </c>
      <c r="C4" s="28">
        <v>0.45</v>
      </c>
      <c r="D4" s="7" t="s">
        <v>83</v>
      </c>
    </row>
    <row r="5">
      <c r="A5" s="7" t="s">
        <v>10</v>
      </c>
      <c r="B5" s="28">
        <v>0.5</v>
      </c>
      <c r="C5" s="28">
        <v>0.65</v>
      </c>
      <c r="D5" s="28">
        <v>0.7</v>
      </c>
    </row>
    <row r="6">
      <c r="A6" s="7" t="s">
        <v>29</v>
      </c>
      <c r="B6" s="28">
        <v>0.45</v>
      </c>
      <c r="C6" s="28">
        <v>0.6</v>
      </c>
      <c r="D6" s="28">
        <v>0.65</v>
      </c>
    </row>
    <row r="7">
      <c r="A7" s="7" t="s">
        <v>45</v>
      </c>
      <c r="B7" s="28">
        <v>0.35</v>
      </c>
      <c r="C7" s="28">
        <v>0.5</v>
      </c>
      <c r="D7" s="28">
        <v>0.55</v>
      </c>
    </row>
    <row r="8">
      <c r="A8" s="7" t="s">
        <v>62</v>
      </c>
      <c r="B8" s="28">
        <v>0.25</v>
      </c>
      <c r="C8" s="28">
        <v>0.4</v>
      </c>
      <c r="D8" s="28">
        <v>0.45</v>
      </c>
    </row>
    <row r="10">
      <c r="A10" s="7" t="s">
        <v>85</v>
      </c>
      <c r="B10" s="7" t="s">
        <v>86</v>
      </c>
    </row>
    <row r="11">
      <c r="A11" s="7" t="s">
        <v>8</v>
      </c>
      <c r="B11" s="7" t="s">
        <v>87</v>
      </c>
    </row>
    <row r="13">
      <c r="A13" s="7">
        <v>1.0</v>
      </c>
      <c r="B13" s="7">
        <v>2.0</v>
      </c>
      <c r="C13" s="7">
        <v>3.0</v>
      </c>
      <c r="D13" s="7">
        <v>4.0</v>
      </c>
      <c r="E13" s="7">
        <v>5.0</v>
      </c>
      <c r="F13" s="7">
        <v>6.0</v>
      </c>
      <c r="G13" s="7">
        <v>7.0</v>
      </c>
    </row>
    <row r="14">
      <c r="A14" s="6" t="s">
        <v>88</v>
      </c>
      <c r="B14" s="7" t="s">
        <v>82</v>
      </c>
      <c r="C14" s="7" t="s">
        <v>20</v>
      </c>
      <c r="D14" s="7" t="s">
        <v>81</v>
      </c>
      <c r="E14" s="7" t="s">
        <v>84</v>
      </c>
      <c r="F14" s="7" t="s">
        <v>20</v>
      </c>
      <c r="G14" s="7" t="s">
        <v>81</v>
      </c>
    </row>
    <row r="15">
      <c r="A15" s="7" t="s">
        <v>24</v>
      </c>
      <c r="B15" s="28">
        <v>0.7</v>
      </c>
      <c r="C15" s="28">
        <v>0.8</v>
      </c>
      <c r="D15" s="28">
        <v>0.85</v>
      </c>
      <c r="E15" s="28">
        <v>0.3</v>
      </c>
      <c r="F15" s="28">
        <v>0.4</v>
      </c>
      <c r="G15" s="28">
        <v>0.45</v>
      </c>
    </row>
    <row r="16">
      <c r="A16" s="7" t="s">
        <v>89</v>
      </c>
      <c r="B16" s="28">
        <v>0.7</v>
      </c>
      <c r="C16" s="28">
        <v>0.8</v>
      </c>
      <c r="D16" s="28">
        <v>0.8</v>
      </c>
      <c r="E16" s="28">
        <v>0.3</v>
      </c>
      <c r="F16" s="28">
        <v>0.4</v>
      </c>
      <c r="G16" s="28">
        <v>0.4</v>
      </c>
    </row>
    <row r="17">
      <c r="A17" s="7" t="s">
        <v>90</v>
      </c>
      <c r="B17" s="28">
        <v>0.75</v>
      </c>
      <c r="C17" s="28">
        <v>0.85</v>
      </c>
      <c r="D17" s="28">
        <v>0.85</v>
      </c>
      <c r="E17" s="28">
        <v>0.35</v>
      </c>
      <c r="F17" s="28">
        <v>0.45</v>
      </c>
      <c r="G17" s="28">
        <v>0.4</v>
      </c>
    </row>
    <row r="20">
      <c r="A20" s="6" t="s">
        <v>91</v>
      </c>
      <c r="C20" s="7" t="s">
        <v>92</v>
      </c>
    </row>
    <row r="21">
      <c r="A21" s="7" t="s">
        <v>10</v>
      </c>
      <c r="B21" s="28">
        <v>0.55</v>
      </c>
      <c r="C21" s="28">
        <v>0.65</v>
      </c>
      <c r="D21" s="28"/>
    </row>
    <row r="22">
      <c r="A22" s="7" t="s">
        <v>29</v>
      </c>
      <c r="B22" s="28">
        <v>0.55</v>
      </c>
      <c r="C22" s="28">
        <v>0.65</v>
      </c>
      <c r="D22" s="28"/>
    </row>
    <row r="23">
      <c r="A23" s="7" t="s">
        <v>45</v>
      </c>
      <c r="B23" s="28">
        <v>0.45</v>
      </c>
      <c r="C23" s="28">
        <v>0.55</v>
      </c>
      <c r="D23" s="28"/>
    </row>
    <row r="24">
      <c r="A24" s="7" t="s">
        <v>62</v>
      </c>
      <c r="B24" s="28">
        <v>0.35</v>
      </c>
      <c r="C24" s="28">
        <v>0.45</v>
      </c>
      <c r="D24" s="28"/>
    </row>
    <row r="27">
      <c r="A27" s="7">
        <v>1.0</v>
      </c>
      <c r="B27" s="7">
        <v>2.0</v>
      </c>
      <c r="C27" s="7">
        <v>3.0</v>
      </c>
      <c r="E27" s="7">
        <v>5.0</v>
      </c>
      <c r="F27" s="7">
        <v>6.0</v>
      </c>
    </row>
    <row r="28">
      <c r="A28" s="6" t="s">
        <v>93</v>
      </c>
      <c r="B28" s="7" t="s">
        <v>82</v>
      </c>
      <c r="C28" s="7" t="s">
        <v>20</v>
      </c>
      <c r="E28" s="7" t="s">
        <v>84</v>
      </c>
      <c r="F28" s="7" t="s">
        <v>20</v>
      </c>
    </row>
    <row r="29">
      <c r="A29" s="7" t="s">
        <v>24</v>
      </c>
      <c r="B29" s="28">
        <v>0.7</v>
      </c>
      <c r="C29" s="28">
        <v>0.8</v>
      </c>
      <c r="D29" s="28"/>
      <c r="E29" s="28">
        <v>0.35</v>
      </c>
      <c r="F29" s="28">
        <v>0.45</v>
      </c>
      <c r="G29" s="28"/>
    </row>
    <row r="30">
      <c r="A30" s="7" t="s">
        <v>94</v>
      </c>
      <c r="B30" s="28">
        <v>0.7</v>
      </c>
      <c r="C30" s="28">
        <v>0.8</v>
      </c>
      <c r="D30" s="28"/>
      <c r="E30" s="28">
        <v>0.35</v>
      </c>
      <c r="F30" s="28">
        <v>0.45</v>
      </c>
      <c r="G30" s="28"/>
    </row>
    <row r="31">
      <c r="A31" s="7" t="s">
        <v>34</v>
      </c>
      <c r="B31" s="28">
        <v>0.55</v>
      </c>
      <c r="C31" s="28">
        <v>0.85</v>
      </c>
      <c r="D31" s="28"/>
      <c r="E31" s="28"/>
      <c r="F31" s="28"/>
      <c r="G31" s="28"/>
    </row>
    <row r="34">
      <c r="A34" s="6" t="s">
        <v>95</v>
      </c>
      <c r="C34" s="7" t="s">
        <v>20</v>
      </c>
    </row>
    <row r="35">
      <c r="A35" s="7" t="s">
        <v>29</v>
      </c>
      <c r="B35" s="28">
        <v>0.45</v>
      </c>
      <c r="C35" s="28">
        <v>0.65</v>
      </c>
    </row>
    <row r="36">
      <c r="A36" s="7" t="s">
        <v>45</v>
      </c>
      <c r="B36" s="28">
        <v>0.45</v>
      </c>
      <c r="C36" s="28">
        <v>0.55</v>
      </c>
    </row>
    <row r="39">
      <c r="A39" s="6" t="s">
        <v>96</v>
      </c>
      <c r="C39" s="7" t="s">
        <v>92</v>
      </c>
    </row>
    <row r="40">
      <c r="A40" s="7" t="s">
        <v>29</v>
      </c>
      <c r="B40" s="28">
        <v>0.35</v>
      </c>
      <c r="C40" s="28">
        <v>0.65</v>
      </c>
    </row>
    <row r="41">
      <c r="A41" s="7" t="s">
        <v>45</v>
      </c>
      <c r="B41" s="28">
        <v>0.35</v>
      </c>
      <c r="C41" s="28">
        <v>0.55</v>
      </c>
    </row>
    <row r="42">
      <c r="A42" s="7" t="s">
        <v>62</v>
      </c>
      <c r="B42" s="28">
        <v>0.35</v>
      </c>
      <c r="C42" s="28">
        <v>0.45</v>
      </c>
    </row>
    <row r="45">
      <c r="A45" s="6" t="s">
        <v>97</v>
      </c>
      <c r="C45" s="7" t="s">
        <v>92</v>
      </c>
    </row>
    <row r="46">
      <c r="A46" s="7" t="s">
        <v>29</v>
      </c>
      <c r="B46" s="28">
        <v>0.4</v>
      </c>
      <c r="C46" s="28">
        <v>0.6</v>
      </c>
    </row>
    <row r="47">
      <c r="A47" s="7" t="s">
        <v>45</v>
      </c>
      <c r="B47" s="28">
        <v>0.4</v>
      </c>
      <c r="C47" s="28">
        <v>0.5</v>
      </c>
    </row>
    <row r="48">
      <c r="A48" s="7" t="s">
        <v>62</v>
      </c>
      <c r="B48" s="28">
        <v>0.3</v>
      </c>
      <c r="C48" s="28">
        <v>0.4</v>
      </c>
    </row>
    <row r="50">
      <c r="A50" s="6" t="s">
        <v>98</v>
      </c>
      <c r="C50" s="7" t="s">
        <v>92</v>
      </c>
    </row>
    <row r="51">
      <c r="A51" s="7" t="s">
        <v>29</v>
      </c>
      <c r="B51" s="28">
        <v>0.35</v>
      </c>
      <c r="C51" s="28">
        <v>0.65</v>
      </c>
    </row>
    <row r="52">
      <c r="A52" s="7" t="s">
        <v>45</v>
      </c>
      <c r="B52" s="28">
        <v>0.35</v>
      </c>
      <c r="C52" s="28">
        <v>0.55</v>
      </c>
    </row>
    <row r="53">
      <c r="A53" s="7" t="s">
        <v>62</v>
      </c>
      <c r="B53" s="28">
        <v>0.35</v>
      </c>
      <c r="C53" s="28">
        <v>0.45</v>
      </c>
    </row>
    <row r="57">
      <c r="A57" s="6" t="s">
        <v>99</v>
      </c>
      <c r="C57" s="7" t="s">
        <v>20</v>
      </c>
    </row>
    <row r="58">
      <c r="A58" s="7" t="s">
        <v>29</v>
      </c>
      <c r="B58" s="28">
        <v>0.3</v>
      </c>
      <c r="C58" s="28">
        <v>0.45</v>
      </c>
      <c r="D58" s="28"/>
      <c r="E58" s="28"/>
      <c r="F58" s="28"/>
    </row>
    <row r="59">
      <c r="A59" s="7" t="s">
        <v>45</v>
      </c>
      <c r="B59" s="28">
        <v>0.3</v>
      </c>
      <c r="C59" s="28">
        <v>0.4</v>
      </c>
      <c r="D59" s="28"/>
      <c r="E59" s="28"/>
      <c r="F59" s="28"/>
    </row>
    <row r="60">
      <c r="A60" s="7" t="s">
        <v>62</v>
      </c>
      <c r="B60" s="28">
        <v>0.3</v>
      </c>
      <c r="C60" s="28">
        <v>0.35</v>
      </c>
      <c r="D60" s="28"/>
      <c r="E60" s="28"/>
      <c r="F60" s="28"/>
    </row>
    <row r="63">
      <c r="A63" s="6" t="s">
        <v>100</v>
      </c>
      <c r="C63" s="7" t="s">
        <v>20</v>
      </c>
    </row>
    <row r="64">
      <c r="A64" s="7" t="s">
        <v>101</v>
      </c>
      <c r="B64" s="28">
        <v>0.7</v>
      </c>
      <c r="C64" s="28">
        <v>0.8</v>
      </c>
    </row>
    <row r="65">
      <c r="A65" s="7" t="s">
        <v>65</v>
      </c>
      <c r="B65" s="28">
        <v>0.25</v>
      </c>
      <c r="C65" s="28">
        <v>0.3</v>
      </c>
    </row>
    <row r="66">
      <c r="A66" s="7" t="s">
        <v>102</v>
      </c>
      <c r="B66" s="28">
        <v>0.25</v>
      </c>
      <c r="C66" s="28">
        <v>0.5</v>
      </c>
    </row>
    <row r="67">
      <c r="A67" s="7" t="s">
        <v>45</v>
      </c>
      <c r="B67" s="28">
        <v>0.25</v>
      </c>
      <c r="C67" s="28">
        <v>0.4</v>
      </c>
    </row>
    <row r="68">
      <c r="A68" s="7" t="s">
        <v>62</v>
      </c>
      <c r="B68" s="28">
        <v>0.25</v>
      </c>
      <c r="C68" s="28">
        <v>0.3</v>
      </c>
    </row>
    <row r="71">
      <c r="A71" s="6" t="s">
        <v>103</v>
      </c>
      <c r="C71" s="7" t="s">
        <v>20</v>
      </c>
    </row>
    <row r="72">
      <c r="A72" s="7" t="s">
        <v>101</v>
      </c>
      <c r="B72" s="28">
        <v>0.75</v>
      </c>
      <c r="C72" s="28">
        <v>0.85</v>
      </c>
    </row>
    <row r="73">
      <c r="A73" s="7" t="s">
        <v>65</v>
      </c>
      <c r="B73" s="28">
        <v>0.3</v>
      </c>
      <c r="C73" s="28">
        <v>0.35</v>
      </c>
    </row>
    <row r="74">
      <c r="A74" s="7" t="s">
        <v>102</v>
      </c>
      <c r="B74" s="28">
        <v>0.55</v>
      </c>
      <c r="C74" s="28">
        <v>0.65</v>
      </c>
    </row>
    <row r="75">
      <c r="A75" s="7" t="s">
        <v>45</v>
      </c>
      <c r="B75" s="28">
        <v>0.45</v>
      </c>
      <c r="C75" s="28">
        <v>0.55</v>
      </c>
    </row>
    <row r="77">
      <c r="A77" s="6" t="s">
        <v>104</v>
      </c>
      <c r="C77" s="7" t="s">
        <v>20</v>
      </c>
    </row>
    <row r="78">
      <c r="A78" s="7" t="s">
        <v>105</v>
      </c>
      <c r="B78" s="28">
        <v>0.95</v>
      </c>
      <c r="C78" s="28">
        <v>0.97</v>
      </c>
    </row>
    <row r="79">
      <c r="A79" s="7" t="s">
        <v>78</v>
      </c>
      <c r="B79" s="28">
        <v>0.95</v>
      </c>
      <c r="C79" s="28">
        <v>1.0</v>
      </c>
    </row>
  </sheetData>
  <drawing r:id="rId1"/>
</worksheet>
</file>